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TOP STAY SK" sheetId="8" r:id="rId1"/>
  </sheets>
  <definedNames>
    <definedName name="Z_947B752F_E4E5_4C5C_81CB_1317F626B06B_.wvu.Cols" localSheetId="0" hidden="1">'TOP STAY SK'!$I:$L</definedName>
  </definedNames>
  <calcPr calcId="191028" iterateCount="1"/>
  <customWorkbookViews>
    <customWorkbookView name="DTC" guid="{947B752F-E4E5-4C5C-81CB-1317F626B06B}" maximized="1" xWindow="-11" yWindow="-11" windowWidth="3862" windowHeight="2122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8" l="1"/>
  <c r="K16" i="8"/>
  <c r="K15" i="8"/>
  <c r="K14" i="8"/>
  <c r="K13" i="8"/>
  <c r="D13" i="8"/>
  <c r="I35" i="8" s="1"/>
  <c r="K12" i="8"/>
  <c r="K11" i="8"/>
  <c r="K10" i="8"/>
  <c r="K9" i="8"/>
  <c r="K8" i="8"/>
  <c r="L15" i="8" l="1"/>
  <c r="L14" i="8" s="1"/>
  <c r="L13" i="8" s="1"/>
  <c r="L12" i="8" s="1"/>
  <c r="L11" i="8" s="1"/>
  <c r="L10" i="8" s="1"/>
  <c r="L9" i="8" s="1"/>
  <c r="C13" i="8" s="1"/>
  <c r="I38" i="8"/>
  <c r="F37" i="8" s="1"/>
  <c r="F34" i="8"/>
  <c r="I37" i="8"/>
  <c r="F36" i="8" s="1"/>
  <c r="I36" i="8"/>
  <c r="F35" i="8" s="1"/>
  <c r="J33" i="8" l="1"/>
  <c r="G31" i="8" s="1"/>
  <c r="I33" i="8"/>
  <c r="F31" i="8" s="1"/>
  <c r="I18" i="8"/>
  <c r="F16" i="8" s="1"/>
  <c r="J32" i="8"/>
  <c r="G30" i="8" s="1"/>
  <c r="I32" i="8"/>
  <c r="F30" i="8" s="1"/>
  <c r="I31" i="8"/>
  <c r="F29" i="8" s="1"/>
  <c r="J31" i="8"/>
  <c r="G29" i="8" s="1"/>
  <c r="J30" i="8"/>
  <c r="G28" i="8" s="1"/>
  <c r="I30" i="8"/>
  <c r="F28" i="8" s="1"/>
  <c r="J29" i="8"/>
  <c r="G27" i="8" s="1"/>
  <c r="I29" i="8"/>
  <c r="F27" i="8" s="1"/>
  <c r="J28" i="8"/>
  <c r="G26" i="8" s="1"/>
  <c r="I28" i="8"/>
  <c r="F26" i="8" s="1"/>
  <c r="J27" i="8"/>
  <c r="G25" i="8" s="1"/>
  <c r="I27" i="8"/>
  <c r="F25" i="8" s="1"/>
  <c r="J26" i="8"/>
  <c r="G24" i="8" s="1"/>
  <c r="I26" i="8"/>
  <c r="F24" i="8" s="1"/>
  <c r="J25" i="8"/>
  <c r="G23" i="8" s="1"/>
  <c r="I25" i="8"/>
  <c r="F23" i="8" s="1"/>
  <c r="I20" i="8"/>
  <c r="F18" i="8" s="1"/>
  <c r="J24" i="8"/>
  <c r="G22" i="8" s="1"/>
  <c r="I24" i="8"/>
  <c r="F22" i="8" s="1"/>
  <c r="J20" i="8"/>
  <c r="G18" i="8" s="1"/>
  <c r="J18" i="8"/>
  <c r="G16" i="8" s="1"/>
  <c r="J23" i="8"/>
  <c r="G21" i="8" s="1"/>
  <c r="I23" i="8"/>
  <c r="F21" i="8" s="1"/>
  <c r="I21" i="8"/>
  <c r="F19" i="8" s="1"/>
  <c r="J22" i="8"/>
  <c r="G20" i="8" s="1"/>
  <c r="J19" i="8"/>
  <c r="G17" i="8" s="1"/>
  <c r="I22" i="8"/>
  <c r="F20" i="8" s="1"/>
  <c r="I19" i="8"/>
  <c r="F17" i="8" s="1"/>
  <c r="J21" i="8"/>
  <c r="G19" i="8" s="1"/>
</calcChain>
</file>

<file path=xl/sharedStrings.xml><?xml version="1.0" encoding="utf-8"?>
<sst xmlns="http://schemas.openxmlformats.org/spreadsheetml/2006/main" count="91" uniqueCount="62">
  <si>
    <t>Материал</t>
  </si>
  <si>
    <t>Вес 1м2</t>
  </si>
  <si>
    <t>Расчет</t>
  </si>
  <si>
    <t>Формула</t>
  </si>
  <si>
    <t>1. Введите размеры фасада и вес ручки:</t>
  </si>
  <si>
    <t>ДСП 16 мм</t>
  </si>
  <si>
    <r>
      <rPr>
        <b/>
        <sz val="11"/>
        <color theme="2" tint="-0.749992370372631"/>
        <rFont val="Calibri"/>
        <family val="2"/>
        <charset val="204"/>
        <scheme val="minor"/>
      </rPr>
      <t>Ширина</t>
    </r>
    <r>
      <rPr>
        <sz val="11"/>
        <color theme="2" tint="-0.749992370372631"/>
        <rFont val="Calibri"/>
        <family val="2"/>
        <charset val="204"/>
        <scheme val="minor"/>
      </rPr>
      <t>, мм</t>
    </r>
  </si>
  <si>
    <t>+</t>
  </si>
  <si>
    <r>
      <rPr>
        <b/>
        <sz val="11"/>
        <color theme="2" tint="-0.749992370372631"/>
        <rFont val="Calibri"/>
        <family val="2"/>
        <charset val="204"/>
        <scheme val="minor"/>
      </rPr>
      <t>Вес ручки</t>
    </r>
    <r>
      <rPr>
        <sz val="11"/>
        <color theme="2" tint="-0.749992370372631"/>
        <rFont val="Calibri"/>
        <family val="2"/>
        <charset val="204"/>
        <scheme val="minor"/>
      </rPr>
      <t>, граммы</t>
    </r>
  </si>
  <si>
    <t>ДСП 18 мм</t>
  </si>
  <si>
    <t>МДФ 16 мм</t>
  </si>
  <si>
    <t>МДФ 18/19 мм</t>
  </si>
  <si>
    <t>Вес фасада, кг</t>
  </si>
  <si>
    <t>МДФ 22 мм</t>
  </si>
  <si>
    <t>Массив дерева 16 мм</t>
  </si>
  <si>
    <t>Массив дерева 18 мм</t>
  </si>
  <si>
    <t>Массив дерева 22 мм</t>
  </si>
  <si>
    <t xml:space="preserve">Алюминиевая рамка со стеклом </t>
  </si>
  <si>
    <t>www.dtcrussia.ru</t>
  </si>
  <si>
    <t>Х</t>
  </si>
  <si>
    <t>Счетчик списка ST:</t>
  </si>
  <si>
    <t>2. Из раскрывающегося списка выберите материал фасада и получите вес фасада</t>
  </si>
  <si>
    <t>Комплект механизмов</t>
  </si>
  <si>
    <t>Артикул с белыми заглушками</t>
  </si>
  <si>
    <t>Артикул с серыми заглушками</t>
  </si>
  <si>
    <r>
      <rPr>
        <b/>
        <sz val="26"/>
        <color theme="2" tint="-0.499984740745262"/>
        <rFont val="Segoe UI"/>
        <family val="2"/>
        <charset val="204"/>
      </rPr>
      <t xml:space="preserve">   TOP STAY</t>
    </r>
    <r>
      <rPr>
        <b/>
        <sz val="26"/>
        <color theme="2" tint="-0.749992370372631"/>
        <rFont val="Segoe UI"/>
        <family val="2"/>
        <charset val="204"/>
      </rPr>
      <t xml:space="preserve"> </t>
    </r>
    <r>
      <rPr>
        <b/>
        <sz val="26"/>
        <color rgb="FFC00000"/>
        <rFont val="Segoe UI"/>
        <family val="2"/>
        <charset val="204"/>
      </rPr>
      <t>SK</t>
    </r>
    <r>
      <rPr>
        <b/>
        <sz val="36"/>
        <color theme="2" tint="-0.749992370372631"/>
        <rFont val="Segoe UI"/>
        <family val="2"/>
        <charset val="204"/>
      </rPr>
      <t xml:space="preserve"> </t>
    </r>
  </si>
  <si>
    <r>
      <rPr>
        <b/>
        <sz val="11"/>
        <color theme="2" tint="-0.749992370372631"/>
        <rFont val="Calibri"/>
        <family val="2"/>
        <charset val="204"/>
        <scheme val="minor"/>
      </rPr>
      <t>Высота фасада</t>
    </r>
    <r>
      <rPr>
        <sz val="11"/>
        <color theme="2" tint="-0.749992370372631"/>
        <rFont val="Calibri"/>
        <family val="2"/>
        <charset val="204"/>
        <scheme val="minor"/>
      </rPr>
      <t xml:space="preserve">, мм (max. 580) </t>
    </r>
  </si>
  <si>
    <t>Высота, мм</t>
  </si>
  <si>
    <r>
      <t xml:space="preserve">3. Получите артикул и название комплекта механизмов TOP STAYS SK соответствующего полученному значению веса фасада и его высоты. Значения веса и высоты фасада должны попадать в пределы значений для отдельного артикула механизма. </t>
    </r>
    <r>
      <rPr>
        <b/>
        <sz val="11"/>
        <color theme="0" tint="-4.9989318521683403E-2"/>
        <rFont val="Calibri"/>
        <family val="2"/>
        <charset val="204"/>
        <scheme val="minor"/>
      </rPr>
      <t>Чем ближе ваши значения к средним значениям веса</t>
    </r>
    <r>
      <rPr>
        <sz val="11"/>
        <color theme="0" tint="-4.9989318521683403E-2"/>
        <rFont val="Calibri"/>
        <family val="2"/>
        <charset val="204"/>
        <scheme val="minor"/>
      </rPr>
      <t xml:space="preserve"> и высоты, тем проще будет осуществляться регулировка механизма. При значениях веса близких к границе диапазона работы модели механизма, выбирайте модель рассчитанную на больший вес.</t>
    </r>
  </si>
  <si>
    <t>Высота фасада, мм</t>
  </si>
  <si>
    <t>ТOP STAY SK (D) очень слабый</t>
  </si>
  <si>
    <t>1,3 - 4,2</t>
  </si>
  <si>
    <t>300 - 349</t>
  </si>
  <si>
    <t>1,5 - 2,5</t>
  </si>
  <si>
    <t>350 - 399</t>
  </si>
  <si>
    <t>ТOP STAY SK (L) слабый</t>
  </si>
  <si>
    <t>3,5 - 7,2</t>
  </si>
  <si>
    <t xml:space="preserve">2,5 - 5,0 </t>
  </si>
  <si>
    <t>2,0 - 3,5</t>
  </si>
  <si>
    <t>400 - 550</t>
  </si>
  <si>
    <t>ТOP STAY SK (M) средний</t>
  </si>
  <si>
    <t>6,5 - 12,0</t>
  </si>
  <si>
    <t>4,5 - 9,0</t>
  </si>
  <si>
    <t>2,8 - 6,5</t>
  </si>
  <si>
    <t>2,0 - 5,2</t>
  </si>
  <si>
    <t>450 - 580</t>
  </si>
  <si>
    <t>ТOP STAY SK (H) сильный</t>
  </si>
  <si>
    <t>11,0 - 20,0</t>
  </si>
  <si>
    <t xml:space="preserve">8,0 - 14,5 </t>
  </si>
  <si>
    <t>5,8 - 11,5</t>
  </si>
  <si>
    <t>4,2 - 9,2</t>
  </si>
  <si>
    <t>ТOP STAY SK (С) очень сильный</t>
  </si>
  <si>
    <t>13,5 - 20,0</t>
  </si>
  <si>
    <t xml:space="preserve">10,5 -20,0 </t>
  </si>
  <si>
    <t>8,3 - 16,5</t>
  </si>
  <si>
    <t>4. Получите артикул комплекта рычагов TOP STAYS SK соответствующего полученному значению высоты фасада, и добавьте их к заказу. Для удобства регулировки выбирайте комплект рычагов ближе подходящий к среднему значению диапазона высот.</t>
  </si>
  <si>
    <t>Комплект рычагов</t>
  </si>
  <si>
    <t>Артикул:</t>
  </si>
  <si>
    <t>Комплект рычагов ТOP STAY SK 300-349</t>
  </si>
  <si>
    <t>Комплект рычагов ТOP STAY SK 350-399</t>
  </si>
  <si>
    <t>Комплект рычагов ТOP STAY SK 400-550</t>
  </si>
  <si>
    <t>Комплект рычагов ТOP STAY SK 450-580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</si>
</sst>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theme="2" tint="-0.749992370372631"/>
      <name val="Calibri"/>
      <family val="2"/>
      <charset val="204"/>
      <scheme val="minor"/>
    </font>
    <font>
      <b/>
      <sz val="11"/>
      <color theme="2" tint="-0.749992370372631"/>
      <name val="Calibri"/>
      <family val="2"/>
      <charset val="204"/>
      <scheme val="minor"/>
    </font>
    <font>
      <sz val="11"/>
      <color theme="0" tint="-4.9989318521683403E-2"/>
      <name val="Calibri"/>
      <family val="2"/>
      <charset val="204"/>
      <scheme val="minor"/>
    </font>
    <font>
      <b/>
      <sz val="11"/>
      <color theme="0" tint="-4.9989318521683403E-2"/>
      <name val="Calibri"/>
      <family val="2"/>
      <charset val="204"/>
      <scheme val="minor"/>
    </font>
    <font>
      <b/>
      <sz val="16"/>
      <color theme="2" tint="-0.74999237037263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36"/>
      <color theme="2" tint="-0.749992370372631"/>
      <name val="Segoe UI"/>
      <family val="2"/>
      <charset val="204"/>
    </font>
    <font>
      <b/>
      <sz val="26"/>
      <color theme="2" tint="-0.499984740745262"/>
      <name val="Segoe UI"/>
      <family val="2"/>
      <charset val="204"/>
    </font>
    <font>
      <b/>
      <sz val="26"/>
      <color theme="2" tint="-0.749992370372631"/>
      <name val="Segoe UI"/>
      <family val="2"/>
      <charset val="204"/>
    </font>
    <font>
      <b/>
      <sz val="26"/>
      <color rgb="FFC00000"/>
      <name val="Segoe UI"/>
      <family val="2"/>
      <charset val="204"/>
    </font>
    <font>
      <b/>
      <sz val="11"/>
      <color theme="0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  <font>
      <b/>
      <sz val="15"/>
      <color theme="1"/>
      <name val="Calibri"/>
      <family val="3"/>
      <charset val="13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61C3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D4D4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9" fillId="0" borderId="0" applyNumberFormat="0" applyFill="0" applyBorder="0" applyAlignment="0" applyProtection="0"/>
  </cellStyleXfs>
  <cellXfs count="75">
    <xf numFmtId="0" fontId="0" fillId="0" borderId="0" xfId="0"/>
    <xf numFmtId="0" fontId="0" fillId="0" borderId="1" xfId="0" applyBorder="1"/>
    <xf numFmtId="0" fontId="0" fillId="0" borderId="1" xfId="0" applyBorder="1" applyProtection="1">
      <protection locked="0" hidden="1"/>
    </xf>
    <xf numFmtId="0" fontId="0" fillId="0" borderId="1" xfId="0" applyBorder="1" applyAlignment="1" applyProtection="1">
      <alignment horizontal="center" vertical="center"/>
      <protection locked="0" hidden="1"/>
    </xf>
    <xf numFmtId="0" fontId="0" fillId="0" borderId="0" xfId="0" applyAlignment="1">
      <alignment vertical="center" wrapText="1"/>
    </xf>
    <xf numFmtId="0" fontId="0" fillId="0" borderId="2" xfId="0" applyBorder="1" applyProtection="1">
      <protection locked="0" hidden="1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2" xfId="1" applyFont="1" applyFill="1" applyBorder="1" applyAlignment="1" applyProtection="1">
      <alignment horizontal="center" vertical="center"/>
      <protection locked="0" hidden="1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2" fontId="5" fillId="5" borderId="2" xfId="0" applyNumberFormat="1" applyFont="1" applyFill="1" applyBorder="1" applyAlignment="1" applyProtection="1">
      <alignment horizontal="center" vertical="center"/>
      <protection hidden="1"/>
    </xf>
    <xf numFmtId="0" fontId="4" fillId="5" borderId="1" xfId="2" applyFont="1" applyFill="1" applyBorder="1" applyAlignment="1" applyProtection="1">
      <alignment horizontal="left" vertical="center"/>
      <protection hidden="1"/>
    </xf>
    <xf numFmtId="0" fontId="4" fillId="5" borderId="1" xfId="1" applyFont="1" applyFill="1" applyBorder="1" applyAlignment="1" applyProtection="1">
      <alignment horizontal="left" vertical="center"/>
      <protection hidden="1"/>
    </xf>
    <xf numFmtId="0" fontId="15" fillId="7" borderId="1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0" fillId="0" borderId="0" xfId="0" applyProtection="1">
      <protection locked="0" hidden="1"/>
    </xf>
    <xf numFmtId="0" fontId="4" fillId="5" borderId="2" xfId="1" applyFont="1" applyFill="1" applyBorder="1" applyAlignment="1" applyProtection="1">
      <alignment horizontal="left" vertical="center"/>
      <protection hidden="1"/>
    </xf>
    <xf numFmtId="0" fontId="15" fillId="7" borderId="2" xfId="0" applyFont="1" applyFill="1" applyBorder="1" applyAlignment="1">
      <alignment horizontal="center" vertical="center"/>
    </xf>
    <xf numFmtId="0" fontId="14" fillId="6" borderId="20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4" fillId="5" borderId="1" xfId="2" applyFont="1" applyFill="1" applyBorder="1" applyAlignment="1" applyProtection="1">
      <alignment horizontal="center" vertical="center"/>
      <protection hidden="1"/>
    </xf>
    <xf numFmtId="0" fontId="5" fillId="5" borderId="1" xfId="1" applyFont="1" applyFill="1" applyBorder="1" applyAlignment="1" applyProtection="1">
      <alignment horizontal="center"/>
      <protection hidden="1"/>
    </xf>
    <xf numFmtId="0" fontId="5" fillId="5" borderId="2" xfId="1" applyFont="1" applyFill="1" applyBorder="1" applyAlignment="1" applyProtection="1">
      <alignment horizontal="center"/>
      <protection hidden="1"/>
    </xf>
    <xf numFmtId="0" fontId="10" fillId="0" borderId="12" xfId="0" applyFont="1" applyBorder="1" applyAlignment="1" applyProtection="1">
      <alignment horizontal="left" vertical="center"/>
      <protection hidden="1"/>
    </xf>
    <xf numFmtId="0" fontId="10" fillId="0" borderId="13" xfId="0" applyFont="1" applyBorder="1" applyAlignment="1" applyProtection="1">
      <alignment horizontal="left" vertical="center"/>
      <protection hidden="1"/>
    </xf>
    <xf numFmtId="0" fontId="10" fillId="0" borderId="10" xfId="0" applyFont="1" applyBorder="1" applyAlignment="1" applyProtection="1">
      <alignment horizontal="left" vertical="center"/>
      <protection hidden="1"/>
    </xf>
    <xf numFmtId="0" fontId="10" fillId="0" borderId="14" xfId="0" applyFont="1" applyBorder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10" fillId="0" borderId="11" xfId="0" applyFont="1" applyBorder="1" applyAlignment="1" applyProtection="1">
      <alignment horizontal="left" vertical="center"/>
      <protection hidden="1"/>
    </xf>
    <xf numFmtId="0" fontId="0" fillId="0" borderId="1" xfId="0" applyBorder="1" applyAlignment="1">
      <alignment horizontal="center" vertical="center"/>
    </xf>
    <xf numFmtId="0" fontId="7" fillId="4" borderId="21" xfId="1" applyFont="1" applyFill="1" applyBorder="1" applyAlignment="1" applyProtection="1">
      <alignment horizontal="center" vertical="center"/>
      <protection hidden="1"/>
    </xf>
    <xf numFmtId="0" fontId="7" fillId="4" borderId="3" xfId="1" applyFont="1" applyFill="1" applyBorder="1" applyAlignment="1" applyProtection="1">
      <alignment horizontal="center" vertical="center"/>
      <protection hidden="1"/>
    </xf>
    <xf numFmtId="0" fontId="7" fillId="4" borderId="6" xfId="1" applyFont="1" applyFill="1" applyBorder="1" applyAlignment="1" applyProtection="1">
      <alignment horizontal="center" vertical="center"/>
      <protection hidden="1"/>
    </xf>
    <xf numFmtId="0" fontId="6" fillId="4" borderId="18" xfId="1" applyFont="1" applyFill="1" applyBorder="1" applyAlignment="1" applyProtection="1">
      <alignment horizontal="center" vertical="center"/>
      <protection hidden="1"/>
    </xf>
    <xf numFmtId="0" fontId="6" fillId="4" borderId="19" xfId="1" applyFont="1" applyFill="1" applyBorder="1" applyAlignment="1" applyProtection="1">
      <alignment horizontal="center" vertical="center"/>
      <protection hidden="1"/>
    </xf>
    <xf numFmtId="0" fontId="8" fillId="5" borderId="1" xfId="2" applyFont="1" applyFill="1" applyBorder="1" applyAlignment="1" applyProtection="1">
      <alignment horizontal="center" vertical="center"/>
      <protection hidden="1"/>
    </xf>
    <xf numFmtId="0" fontId="8" fillId="5" borderId="2" xfId="2" applyFont="1" applyFill="1" applyBorder="1" applyAlignment="1" applyProtection="1">
      <alignment horizontal="center" vertical="center"/>
      <protection hidden="1"/>
    </xf>
    <xf numFmtId="0" fontId="0" fillId="5" borderId="1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center" wrapText="1"/>
    </xf>
    <xf numFmtId="0" fontId="2" fillId="4" borderId="1" xfId="1" applyFill="1" applyBorder="1" applyAlignment="1" applyProtection="1">
      <alignment horizontal="center"/>
      <protection hidden="1"/>
    </xf>
    <xf numFmtId="0" fontId="2" fillId="4" borderId="2" xfId="1" applyFill="1" applyBorder="1" applyAlignment="1" applyProtection="1">
      <alignment horizontal="center"/>
      <protection hidden="1"/>
    </xf>
    <xf numFmtId="0" fontId="4" fillId="5" borderId="1" xfId="2" applyFont="1" applyFill="1" applyBorder="1" applyAlignment="1" applyProtection="1">
      <alignment horizontal="center" vertical="center"/>
      <protection hidden="1"/>
    </xf>
    <xf numFmtId="0" fontId="4" fillId="5" borderId="4" xfId="2" applyFont="1" applyFill="1" applyBorder="1" applyAlignment="1" applyProtection="1">
      <alignment horizontal="center" vertical="center"/>
      <protection hidden="1"/>
    </xf>
    <xf numFmtId="0" fontId="4" fillId="5" borderId="2" xfId="2" applyFont="1" applyFill="1" applyBorder="1" applyAlignment="1" applyProtection="1">
      <alignment horizontal="center" vertical="center"/>
      <protection hidden="1"/>
    </xf>
    <xf numFmtId="0" fontId="4" fillId="5" borderId="20" xfId="2" applyFont="1" applyFill="1" applyBorder="1" applyAlignment="1" applyProtection="1">
      <alignment horizontal="center" vertical="center"/>
      <protection hidden="1"/>
    </xf>
    <xf numFmtId="1" fontId="5" fillId="5" borderId="2" xfId="0" applyNumberFormat="1" applyFont="1" applyFill="1" applyBorder="1" applyAlignment="1" applyProtection="1">
      <alignment horizontal="center" vertical="center"/>
      <protection hidden="1"/>
    </xf>
    <xf numFmtId="0" fontId="9" fillId="0" borderId="14" xfId="3" applyBorder="1" applyAlignment="1" applyProtection="1">
      <alignment horizontal="center" vertical="center"/>
      <protection hidden="1"/>
    </xf>
    <xf numFmtId="0" fontId="9" fillId="0" borderId="0" xfId="3" applyBorder="1" applyAlignment="1" applyProtection="1">
      <alignment horizontal="center" vertical="center"/>
      <protection hidden="1"/>
    </xf>
    <xf numFmtId="0" fontId="9" fillId="0" borderId="11" xfId="3" applyBorder="1" applyAlignment="1" applyProtection="1">
      <alignment horizontal="center" vertical="center"/>
      <protection hidden="1"/>
    </xf>
    <xf numFmtId="0" fontId="9" fillId="0" borderId="15" xfId="3" applyBorder="1" applyAlignment="1" applyProtection="1">
      <alignment horizontal="center" vertical="center"/>
      <protection hidden="1"/>
    </xf>
    <xf numFmtId="0" fontId="9" fillId="0" borderId="9" xfId="3" applyBorder="1" applyAlignment="1" applyProtection="1">
      <alignment horizontal="center" vertical="center"/>
      <protection hidden="1"/>
    </xf>
    <xf numFmtId="0" fontId="9" fillId="0" borderId="16" xfId="3" applyBorder="1" applyAlignment="1" applyProtection="1">
      <alignment horizontal="center" vertical="center"/>
      <protection hidden="1"/>
    </xf>
    <xf numFmtId="0" fontId="5" fillId="5" borderId="1" xfId="1" applyFont="1" applyFill="1" applyBorder="1" applyAlignment="1" applyProtection="1">
      <alignment horizontal="center"/>
      <protection hidden="1"/>
    </xf>
    <xf numFmtId="0" fontId="5" fillId="5" borderId="5" xfId="1" applyFont="1" applyFill="1" applyBorder="1" applyAlignment="1" applyProtection="1">
      <alignment horizontal="center"/>
      <protection hidden="1"/>
    </xf>
    <xf numFmtId="0" fontId="6" fillId="4" borderId="18" xfId="1" applyFont="1" applyFill="1" applyBorder="1" applyAlignment="1" applyProtection="1">
      <alignment horizontal="center" vertical="center" wrapText="1"/>
      <protection hidden="1"/>
    </xf>
    <xf numFmtId="0" fontId="6" fillId="4" borderId="19" xfId="1" applyFont="1" applyFill="1" applyBorder="1" applyAlignment="1" applyProtection="1">
      <alignment horizontal="center" vertical="center" wrapText="1"/>
      <protection hidden="1"/>
    </xf>
    <xf numFmtId="0" fontId="7" fillId="4" borderId="25" xfId="1" applyFont="1" applyFill="1" applyBorder="1" applyAlignment="1" applyProtection="1">
      <alignment horizontal="center" vertical="center"/>
      <protection hidden="1"/>
    </xf>
    <xf numFmtId="0" fontId="7" fillId="4" borderId="26" xfId="1" applyFont="1" applyFill="1" applyBorder="1" applyAlignment="1" applyProtection="1">
      <alignment horizontal="center" vertical="center"/>
      <protection hidden="1"/>
    </xf>
    <xf numFmtId="0" fontId="7" fillId="4" borderId="27" xfId="1" applyFont="1" applyFill="1" applyBorder="1" applyAlignment="1" applyProtection="1">
      <alignment horizontal="center" vertical="center"/>
      <protection hidden="1"/>
    </xf>
    <xf numFmtId="0" fontId="5" fillId="5" borderId="2" xfId="1" applyFont="1" applyFill="1" applyBorder="1" applyAlignment="1" applyProtection="1">
      <alignment horizontal="center"/>
      <protection hidden="1"/>
    </xf>
    <xf numFmtId="0" fontId="18" fillId="8" borderId="23" xfId="1" applyFont="1" applyFill="1" applyBorder="1" applyAlignment="1" applyProtection="1">
      <alignment horizontal="center" vertical="center" wrapText="1"/>
      <protection hidden="1"/>
    </xf>
    <xf numFmtId="0" fontId="6" fillId="8" borderId="17" xfId="1" applyFont="1" applyFill="1" applyBorder="1" applyAlignment="1" applyProtection="1">
      <alignment horizontal="center" vertical="center" wrapText="1"/>
      <protection hidden="1"/>
    </xf>
    <xf numFmtId="0" fontId="15" fillId="8" borderId="23" xfId="0" applyFont="1" applyFill="1" applyBorder="1" applyAlignment="1">
      <alignment horizontal="center" vertical="center"/>
    </xf>
    <xf numFmtId="0" fontId="15" fillId="8" borderId="24" xfId="0" applyFont="1" applyFill="1" applyBorder="1" applyAlignment="1">
      <alignment horizontal="center" vertical="center"/>
    </xf>
    <xf numFmtId="0" fontId="15" fillId="8" borderId="7" xfId="0" applyFont="1" applyFill="1" applyBorder="1" applyAlignment="1">
      <alignment horizontal="center" vertical="center"/>
    </xf>
    <xf numFmtId="0" fontId="15" fillId="8" borderId="8" xfId="0" applyFont="1" applyFill="1" applyBorder="1" applyAlignment="1">
      <alignment horizontal="center" vertical="center"/>
    </xf>
    <xf numFmtId="0" fontId="4" fillId="5" borderId="23" xfId="1" applyFont="1" applyFill="1" applyBorder="1" applyAlignment="1" applyProtection="1">
      <alignment horizontal="center" vertical="center"/>
      <protection hidden="1"/>
    </xf>
    <xf numFmtId="0" fontId="4" fillId="5" borderId="17" xfId="1" applyFont="1" applyFill="1" applyBorder="1" applyAlignment="1" applyProtection="1">
      <alignment horizontal="center" vertical="center"/>
      <protection hidden="1"/>
    </xf>
    <xf numFmtId="0" fontId="4" fillId="5" borderId="7" xfId="1" applyFont="1" applyFill="1" applyBorder="1" applyAlignment="1" applyProtection="1">
      <alignment horizontal="center" vertical="center"/>
      <protection hidden="1"/>
    </xf>
    <xf numFmtId="0" fontId="4" fillId="5" borderId="22" xfId="1" applyFont="1" applyFill="1" applyBorder="1" applyAlignment="1" applyProtection="1">
      <alignment horizontal="center" vertical="center"/>
      <protection hidden="1"/>
    </xf>
    <xf numFmtId="0" fontId="18" fillId="8" borderId="24" xfId="1" applyFont="1" applyFill="1" applyBorder="1" applyAlignment="1" applyProtection="1">
      <alignment horizontal="center" vertical="center" wrapText="1"/>
      <protection hidden="1"/>
    </xf>
  </cellXfs>
  <cellStyles count="4">
    <cellStyle name="Гиперссылка" xfId="3" builtinId="8"/>
    <cellStyle name="Нейтральный" xfId="2" builtinId="28"/>
    <cellStyle name="Обычный" xfId="0" builtinId="0"/>
    <cellStyle name="Хороший" xfId="1" builtinId="26"/>
  </cellStyles>
  <dxfs count="0"/>
  <tableStyles count="0" defaultTableStyle="TableStyleMedium2" defaultPivotStyle="PivotStyleLight16"/>
  <colors>
    <mruColors>
      <color rgb="FF4D4D4D"/>
      <color rgb="FFC61C34"/>
      <color rgb="FFDD410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10" dropStyle="combo" dx="26" fmlaLink="$L$1" fmlaRange="$I$8:$I$16" sel="4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209550</xdr:colOff>
          <xdr:row>11</xdr:row>
          <xdr:rowOff>85725</xdr:rowOff>
        </xdr:from>
        <xdr:to>
          <xdr:col>1</xdr:col>
          <xdr:colOff>2390775</xdr:colOff>
          <xdr:row>12</xdr:row>
          <xdr:rowOff>152400</xdr:rowOff>
        </xdr:to>
        <xdr:sp macro="" textlink="">
          <xdr:nvSpPr>
            <xdr:cNvPr id="11265" name="Drop Dow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4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0</xdr:row>
          <xdr:rowOff>95250</xdr:rowOff>
        </xdr:from>
        <xdr:to>
          <xdr:col>1</xdr:col>
          <xdr:colOff>1276350</xdr:colOff>
          <xdr:row>2</xdr:row>
          <xdr:rowOff>180975</xdr:rowOff>
        </xdr:to>
        <xdr:sp macro="" textlink="">
          <xdr:nvSpPr>
            <xdr:cNvPr id="11266" name="Object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4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45401</xdr:colOff>
      <xdr:row>4</xdr:row>
      <xdr:rowOff>1</xdr:rowOff>
    </xdr:from>
    <xdr:ext cx="3597780" cy="433452"/>
    <xdr:sp macro="" textlink="">
      <xdr:nvSpPr>
        <xdr:cNvPr id="5" name="Прямоугольни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371972" y="1016001"/>
          <a:ext cx="3597780" cy="43345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Высота фасада</a:t>
          </a:r>
          <a:r>
            <a:rPr lang="en-US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 h=300-580</a:t>
          </a:r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мм</a:t>
          </a:r>
        </a:p>
      </xdr:txBody>
    </xdr:sp>
    <xdr:clientData/>
  </xdr:oneCellAnchor>
  <xdr:twoCellAnchor editAs="oneCell">
    <xdr:from>
      <xdr:col>5</xdr:col>
      <xdr:colOff>414550</xdr:colOff>
      <xdr:row>0</xdr:row>
      <xdr:rowOff>0</xdr:rowOff>
    </xdr:from>
    <xdr:to>
      <xdr:col>7</xdr:col>
      <xdr:colOff>3614</xdr:colOff>
      <xdr:row>7</xdr:row>
      <xdr:rowOff>554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3150" y="0"/>
          <a:ext cx="3151414" cy="17722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tcrussia.ru/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1"/>
  <sheetViews>
    <sheetView tabSelected="1" zoomScale="85" zoomScaleNormal="85" workbookViewId="0">
      <selection activeCell="D15" sqref="D15:E15"/>
    </sheetView>
  </sheetViews>
  <sheetFormatPr defaultColWidth="9.140625" defaultRowHeight="15"/>
  <cols>
    <col min="1" max="1" width="4.5703125" customWidth="1"/>
    <col min="2" max="2" width="37.5703125" customWidth="1"/>
    <col min="3" max="3" width="25.5703125" customWidth="1"/>
    <col min="4" max="4" width="7.5703125" customWidth="1"/>
    <col min="5" max="5" width="18.5703125" customWidth="1"/>
    <col min="6" max="7" width="25.5703125" customWidth="1"/>
    <col min="8" max="8" width="9" customWidth="1"/>
    <col min="9" max="9" width="18.42578125" hidden="1" customWidth="1"/>
    <col min="10" max="10" width="13.85546875" hidden="1" customWidth="1"/>
    <col min="11" max="11" width="19.140625" hidden="1" customWidth="1"/>
    <col min="12" max="12" width="16.7109375" hidden="1" customWidth="1"/>
    <col min="13" max="13" width="13.85546875" hidden="1" customWidth="1"/>
    <col min="14" max="14" width="13.85546875" customWidth="1"/>
    <col min="15" max="16" width="8.5703125" customWidth="1"/>
  </cols>
  <sheetData>
    <row r="1" spans="1:12" ht="20.100000000000001" customHeight="1">
      <c r="A1" s="25" t="s">
        <v>25</v>
      </c>
      <c r="B1" s="26"/>
      <c r="C1" s="26"/>
      <c r="D1" s="26"/>
      <c r="E1" s="26"/>
      <c r="F1" s="26"/>
      <c r="G1" s="27"/>
      <c r="J1" s="31" t="s">
        <v>20</v>
      </c>
      <c r="K1" s="31"/>
      <c r="L1" s="3">
        <v>4</v>
      </c>
    </row>
    <row r="2" spans="1:12" ht="20.100000000000001" customHeight="1">
      <c r="A2" s="28"/>
      <c r="B2" s="29"/>
      <c r="C2" s="29"/>
      <c r="D2" s="29"/>
      <c r="E2" s="29"/>
      <c r="F2" s="29"/>
      <c r="G2" s="30"/>
    </row>
    <row r="3" spans="1:12" ht="20.100000000000001" customHeight="1">
      <c r="A3" s="28"/>
      <c r="B3" s="29"/>
      <c r="C3" s="29"/>
      <c r="D3" s="29"/>
      <c r="E3" s="29"/>
      <c r="F3" s="29"/>
      <c r="G3" s="30"/>
    </row>
    <row r="4" spans="1:12" ht="20.100000000000001" customHeight="1">
      <c r="A4" s="28"/>
      <c r="B4" s="29"/>
      <c r="C4" s="29"/>
      <c r="D4" s="29"/>
      <c r="E4" s="29"/>
      <c r="F4" s="29"/>
      <c r="G4" s="30"/>
    </row>
    <row r="5" spans="1:12" ht="20.100000000000001" customHeight="1">
      <c r="A5" s="28"/>
      <c r="B5" s="29"/>
      <c r="C5" s="29"/>
      <c r="D5" s="29"/>
      <c r="E5" s="29"/>
      <c r="F5" s="29"/>
      <c r="G5" s="30"/>
    </row>
    <row r="6" spans="1:12" ht="20.100000000000001" customHeight="1">
      <c r="A6" s="28"/>
      <c r="B6" s="29"/>
      <c r="C6" s="29"/>
      <c r="D6" s="29"/>
      <c r="E6" s="29"/>
      <c r="F6" s="29"/>
      <c r="G6" s="30"/>
    </row>
    <row r="7" spans="1:12" ht="20.100000000000001" customHeight="1" thickBot="1">
      <c r="A7" s="28"/>
      <c r="B7" s="29"/>
      <c r="C7" s="29"/>
      <c r="D7" s="29"/>
      <c r="E7" s="29"/>
      <c r="F7" s="29"/>
      <c r="G7" s="30"/>
      <c r="I7" s="1" t="s">
        <v>0</v>
      </c>
      <c r="J7" s="1" t="s">
        <v>1</v>
      </c>
      <c r="K7" s="1" t="s">
        <v>2</v>
      </c>
      <c r="L7" s="1" t="s">
        <v>3</v>
      </c>
    </row>
    <row r="8" spans="1:12" ht="30" customHeight="1">
      <c r="A8" s="32">
        <v>1</v>
      </c>
      <c r="B8" s="35" t="s">
        <v>4</v>
      </c>
      <c r="C8" s="35"/>
      <c r="D8" s="35"/>
      <c r="E8" s="35"/>
      <c r="F8" s="35"/>
      <c r="G8" s="36"/>
      <c r="I8" s="1" t="s">
        <v>5</v>
      </c>
      <c r="J8" s="2">
        <v>10.9</v>
      </c>
      <c r="K8" s="2">
        <f>B10*C10/1000000*J8+E10/1000</f>
        <v>2.9468000000000001</v>
      </c>
      <c r="L8" s="3" t="s">
        <v>19</v>
      </c>
    </row>
    <row r="9" spans="1:12" ht="20.100000000000001" customHeight="1">
      <c r="A9" s="33"/>
      <c r="B9" s="22" t="s">
        <v>26</v>
      </c>
      <c r="C9" s="22" t="s">
        <v>6</v>
      </c>
      <c r="D9" s="37" t="s">
        <v>7</v>
      </c>
      <c r="E9" s="22" t="s">
        <v>8</v>
      </c>
      <c r="F9" s="39"/>
      <c r="G9" s="40"/>
      <c r="I9" s="1" t="s">
        <v>9</v>
      </c>
      <c r="J9" s="2">
        <v>12.2</v>
      </c>
      <c r="K9" s="2">
        <f>B10*C10/1000000*J9+E10/1000</f>
        <v>3.2744</v>
      </c>
      <c r="L9" s="2">
        <f>IF(L1=2,K9,L10)</f>
        <v>3.8540000000000001</v>
      </c>
    </row>
    <row r="10" spans="1:12" ht="30" customHeight="1" thickBot="1">
      <c r="A10" s="34"/>
      <c r="B10" s="8">
        <v>420</v>
      </c>
      <c r="C10" s="8">
        <v>600</v>
      </c>
      <c r="D10" s="38"/>
      <c r="E10" s="8">
        <v>200</v>
      </c>
      <c r="F10" s="41"/>
      <c r="G10" s="42"/>
      <c r="I10" s="1" t="s">
        <v>10</v>
      </c>
      <c r="J10" s="2">
        <v>12.1</v>
      </c>
      <c r="K10" s="2">
        <f>B10*C10/1000000*J10+E10/1000</f>
        <v>3.2492000000000001</v>
      </c>
      <c r="L10" s="2">
        <f>IF(L1=3,K10,L11)</f>
        <v>3.8540000000000001</v>
      </c>
    </row>
    <row r="11" spans="1:12" ht="39.950000000000003" customHeight="1">
      <c r="A11" s="32">
        <v>2</v>
      </c>
      <c r="B11" s="35" t="s">
        <v>21</v>
      </c>
      <c r="C11" s="35"/>
      <c r="D11" s="35"/>
      <c r="E11" s="35"/>
      <c r="F11" s="35"/>
      <c r="G11" s="36"/>
      <c r="I11" s="1" t="s">
        <v>11</v>
      </c>
      <c r="J11" s="2">
        <v>14.5</v>
      </c>
      <c r="K11" s="2">
        <f>B10*C10/1000000*J11+E10/1000</f>
        <v>3.8540000000000001</v>
      </c>
      <c r="L11" s="2">
        <f>IF(L1=4,K11,L12)</f>
        <v>3.8540000000000001</v>
      </c>
    </row>
    <row r="12" spans="1:12" ht="20.100000000000001" customHeight="1">
      <c r="A12" s="33"/>
      <c r="B12" s="43"/>
      <c r="C12" s="22" t="s">
        <v>12</v>
      </c>
      <c r="D12" s="45" t="s">
        <v>27</v>
      </c>
      <c r="E12" s="45"/>
      <c r="F12" s="45"/>
      <c r="G12" s="46"/>
      <c r="I12" s="1" t="s">
        <v>13</v>
      </c>
      <c r="J12" s="2">
        <v>16.5</v>
      </c>
      <c r="K12" s="2">
        <f>B10*C10/1000000*J12+E10/1000</f>
        <v>4.3580000000000005</v>
      </c>
      <c r="L12" s="2">
        <f>IF(L1=5,K12,L13)</f>
        <v>0</v>
      </c>
    </row>
    <row r="13" spans="1:12" ht="20.100000000000001" customHeight="1" thickBot="1">
      <c r="A13" s="34"/>
      <c r="B13" s="44"/>
      <c r="C13" s="11">
        <f>IF(L1=1,K8,L9)</f>
        <v>3.8540000000000001</v>
      </c>
      <c r="D13" s="49">
        <f>B10</f>
        <v>420</v>
      </c>
      <c r="E13" s="49"/>
      <c r="F13" s="47"/>
      <c r="G13" s="48"/>
      <c r="I13" s="1" t="s">
        <v>14</v>
      </c>
      <c r="J13" s="2">
        <v>11</v>
      </c>
      <c r="K13" s="2">
        <f>B10*C10/1000000*J13+E10/1000</f>
        <v>2.9720000000000004</v>
      </c>
      <c r="L13" s="2">
        <f>IF(L1=6,K13,L14)</f>
        <v>0</v>
      </c>
    </row>
    <row r="14" spans="1:12" ht="60" customHeight="1">
      <c r="A14" s="60">
        <v>3</v>
      </c>
      <c r="B14" s="58" t="s">
        <v>28</v>
      </c>
      <c r="C14" s="58"/>
      <c r="D14" s="58"/>
      <c r="E14" s="58"/>
      <c r="F14" s="58"/>
      <c r="G14" s="59"/>
      <c r="H14" s="9"/>
      <c r="I14" s="1" t="s">
        <v>15</v>
      </c>
      <c r="J14" s="2">
        <v>12</v>
      </c>
      <c r="K14" s="2">
        <f>B10*C10/1000000*J14+E10/1000</f>
        <v>3.2240000000000002</v>
      </c>
      <c r="L14" s="2">
        <f>IF(L1=7,K14,L15)</f>
        <v>0</v>
      </c>
    </row>
    <row r="15" spans="1:12" ht="33" customHeight="1">
      <c r="A15" s="61"/>
      <c r="B15" s="12" t="s">
        <v>22</v>
      </c>
      <c r="C15" s="22" t="s">
        <v>12</v>
      </c>
      <c r="D15" s="45" t="s">
        <v>29</v>
      </c>
      <c r="E15" s="45"/>
      <c r="F15" s="20" t="s">
        <v>23</v>
      </c>
      <c r="G15" s="21" t="s">
        <v>24</v>
      </c>
      <c r="H15" s="10"/>
      <c r="I15" s="1" t="s">
        <v>16</v>
      </c>
      <c r="J15" s="2">
        <v>15</v>
      </c>
      <c r="K15" s="2">
        <f>B10*C10/1000000*J15+E10/1000</f>
        <v>3.9800000000000004</v>
      </c>
      <c r="L15" s="2">
        <f>IF(L1=8,K15,L16)</f>
        <v>0</v>
      </c>
    </row>
    <row r="16" spans="1:12" ht="15" customHeight="1">
      <c r="A16" s="61"/>
      <c r="B16" s="13" t="s">
        <v>30</v>
      </c>
      <c r="C16" s="23" t="s">
        <v>31</v>
      </c>
      <c r="D16" s="56" t="s">
        <v>32</v>
      </c>
      <c r="E16" s="56"/>
      <c r="F16" s="14" t="str">
        <f t="shared" ref="F16:F31" si="0">I18</f>
        <v/>
      </c>
      <c r="G16" s="15" t="str">
        <f t="shared" ref="G16:G31" si="1">J18</f>
        <v/>
      </c>
      <c r="H16" s="7"/>
      <c r="I16" s="1" t="s">
        <v>17</v>
      </c>
      <c r="J16" s="5">
        <v>11.2</v>
      </c>
      <c r="K16" s="2">
        <f>B10*C10/1000000*J16+E10/1000</f>
        <v>3.0224000000000002</v>
      </c>
      <c r="L16" s="2">
        <f>IF(L1=9,K16,L18)</f>
        <v>0</v>
      </c>
    </row>
    <row r="17" spans="1:12" ht="15" customHeight="1">
      <c r="A17" s="61"/>
      <c r="B17" s="13" t="s">
        <v>30</v>
      </c>
      <c r="C17" s="23" t="s">
        <v>33</v>
      </c>
      <c r="D17" s="56" t="s">
        <v>34</v>
      </c>
      <c r="E17" s="56"/>
      <c r="F17" s="14" t="str">
        <f t="shared" si="0"/>
        <v/>
      </c>
      <c r="G17" s="15" t="str">
        <f t="shared" si="1"/>
        <v/>
      </c>
      <c r="H17" s="7"/>
      <c r="J17" s="16"/>
      <c r="K17" s="16"/>
      <c r="L17" s="16"/>
    </row>
    <row r="18" spans="1:12" ht="15" customHeight="1">
      <c r="A18" s="61"/>
      <c r="B18" s="13" t="s">
        <v>35</v>
      </c>
      <c r="C18" s="23" t="s">
        <v>36</v>
      </c>
      <c r="D18" s="56" t="s">
        <v>32</v>
      </c>
      <c r="E18" s="56"/>
      <c r="F18" s="14" t="str">
        <f t="shared" si="0"/>
        <v/>
      </c>
      <c r="G18" s="15" t="str">
        <f t="shared" si="1"/>
        <v/>
      </c>
      <c r="H18" s="7"/>
      <c r="I18" s="6" t="str">
        <f>IF(C13&lt;1.3," слишком легкий фасад",IF(($C$13&gt;1.3)*($C$13&lt;4.2)*($D$13&gt;=300)*($D$13&lt;=349),"0023350",""))</f>
        <v/>
      </c>
      <c r="J18" s="7" t="str">
        <f>IF(C13&lt;1.3," слишком легкий фасад",IF(($C$13&gt;1.3)*($C$13&lt;4.2)*($D$13&gt;=300)*($D$13&lt;=349),"0023355",""))</f>
        <v/>
      </c>
    </row>
    <row r="19" spans="1:12" ht="15" customHeight="1">
      <c r="A19" s="61"/>
      <c r="B19" s="13" t="s">
        <v>35</v>
      </c>
      <c r="C19" s="23" t="s">
        <v>37</v>
      </c>
      <c r="D19" s="56" t="s">
        <v>34</v>
      </c>
      <c r="E19" s="56"/>
      <c r="F19" s="14" t="str">
        <f t="shared" si="0"/>
        <v/>
      </c>
      <c r="G19" s="15" t="str">
        <f t="shared" si="1"/>
        <v/>
      </c>
      <c r="H19" s="7"/>
      <c r="I19" s="6" t="str">
        <f>IF(($C$13&gt;1.5)*($C$13&lt;2.5)*($D$13&gt;=350)*($D$13&lt;=399),"0023350","")</f>
        <v/>
      </c>
      <c r="J19" s="7" t="str">
        <f>IF(($C$13&gt;1.5)*($C$13&lt;2.5)*($D$13&gt;=350)*($D$13&lt;=399),"0023355","")</f>
        <v/>
      </c>
    </row>
    <row r="20" spans="1:12" ht="15" customHeight="1">
      <c r="A20" s="61"/>
      <c r="B20" s="13" t="s">
        <v>35</v>
      </c>
      <c r="C20" s="23" t="s">
        <v>38</v>
      </c>
      <c r="D20" s="56" t="s">
        <v>39</v>
      </c>
      <c r="E20" s="56"/>
      <c r="F20" s="14" t="str">
        <f t="shared" si="0"/>
        <v/>
      </c>
      <c r="G20" s="15" t="str">
        <f t="shared" si="1"/>
        <v/>
      </c>
      <c r="H20" s="7"/>
      <c r="I20" s="6" t="str">
        <f>IF(($C$13&gt;3.5)*($C$13&lt;7.2)*($D$13&gt;=300)*($D$13&lt;=349),"0023351","")</f>
        <v/>
      </c>
      <c r="J20" s="7" t="str">
        <f>IF(($C$13&gt;3.5)*($C$13&lt;7.2)*($D$13&gt;=300)*($D$13&lt;=349),"0023356","")</f>
        <v/>
      </c>
    </row>
    <row r="21" spans="1:12" ht="15" customHeight="1">
      <c r="A21" s="61"/>
      <c r="B21" s="13" t="s">
        <v>40</v>
      </c>
      <c r="C21" s="23" t="s">
        <v>41</v>
      </c>
      <c r="D21" s="56" t="s">
        <v>32</v>
      </c>
      <c r="E21" s="56"/>
      <c r="F21" s="14" t="str">
        <f t="shared" si="0"/>
        <v/>
      </c>
      <c r="G21" s="15" t="str">
        <f t="shared" si="1"/>
        <v/>
      </c>
      <c r="H21" s="7"/>
      <c r="I21" s="6" t="str">
        <f>IF(($C$13&gt;2.5)*($C$13&lt;5)*($D$13&gt;=350)*($D$13&lt;=399),"0023351","")</f>
        <v/>
      </c>
      <c r="J21" s="7" t="str">
        <f>IF(($C$13&gt;2.5)*($C$13&lt;5)*($D$13&gt;=350)*($D$13&lt;=399),"0023356","")</f>
        <v/>
      </c>
    </row>
    <row r="22" spans="1:12" ht="15" customHeight="1">
      <c r="A22" s="61"/>
      <c r="B22" s="13" t="s">
        <v>40</v>
      </c>
      <c r="C22" s="23" t="s">
        <v>42</v>
      </c>
      <c r="D22" s="56" t="s">
        <v>34</v>
      </c>
      <c r="E22" s="56"/>
      <c r="F22" s="14" t="str">
        <f t="shared" si="0"/>
        <v/>
      </c>
      <c r="G22" s="15" t="str">
        <f t="shared" si="1"/>
        <v/>
      </c>
      <c r="H22" s="7"/>
      <c r="I22" s="6" t="str">
        <f>IF(($C$13&gt;2)*($C$13&lt;3.5)*($D$13&gt;=400)*($D$13&lt;=550),"0023351","")</f>
        <v/>
      </c>
      <c r="J22" s="7" t="str">
        <f>IF(($C$13&gt;2)*($C$13&lt;3.5)*($D$13&gt;=400)*($D$13&lt;=550),"0023356","")</f>
        <v/>
      </c>
    </row>
    <row r="23" spans="1:12" ht="15" customHeight="1">
      <c r="A23" s="61"/>
      <c r="B23" s="13" t="s">
        <v>40</v>
      </c>
      <c r="C23" s="23" t="s">
        <v>43</v>
      </c>
      <c r="D23" s="56" t="s">
        <v>39</v>
      </c>
      <c r="E23" s="56"/>
      <c r="F23" s="14" t="str">
        <f t="shared" si="0"/>
        <v>0023352</v>
      </c>
      <c r="G23" s="15" t="str">
        <f t="shared" si="1"/>
        <v>0023357</v>
      </c>
      <c r="H23" s="7"/>
      <c r="I23" s="6" t="str">
        <f>IF(($C$13&gt;6.5)*($C$13&lt;12)*($D$13&gt;=300)*($D$13&lt;=349),"0023352","")</f>
        <v/>
      </c>
      <c r="J23" s="7" t="str">
        <f>IF(($C$13&gt;6.5)*($C$13&lt;12)*($D$13&gt;=300)*($D$13&lt;=349),"0023357","")</f>
        <v/>
      </c>
    </row>
    <row r="24" spans="1:12" ht="15" customHeight="1">
      <c r="A24" s="61"/>
      <c r="B24" s="13" t="s">
        <v>40</v>
      </c>
      <c r="C24" s="23" t="s">
        <v>44</v>
      </c>
      <c r="D24" s="56" t="s">
        <v>45</v>
      </c>
      <c r="E24" s="56"/>
      <c r="F24" s="14" t="str">
        <f t="shared" si="0"/>
        <v/>
      </c>
      <c r="G24" s="15" t="str">
        <f t="shared" si="1"/>
        <v/>
      </c>
      <c r="H24" s="7"/>
      <c r="I24" s="6" t="str">
        <f>IF(($C$13&gt;4.5)*($C$13&lt;9)*($D$13&gt;=350)*($D$13&lt;=399),"0023352","")</f>
        <v/>
      </c>
      <c r="J24" s="7" t="str">
        <f>IF(($C$13&gt;4.5)*($C$13&lt;9)*($D$13&gt;=350)*($D$13&lt;=399),"0023357","")</f>
        <v/>
      </c>
    </row>
    <row r="25" spans="1:12" ht="15" customHeight="1">
      <c r="A25" s="61"/>
      <c r="B25" s="13" t="s">
        <v>46</v>
      </c>
      <c r="C25" s="23" t="s">
        <v>47</v>
      </c>
      <c r="D25" s="56" t="s">
        <v>32</v>
      </c>
      <c r="E25" s="56"/>
      <c r="F25" s="14" t="str">
        <f t="shared" si="0"/>
        <v/>
      </c>
      <c r="G25" s="15" t="str">
        <f t="shared" si="1"/>
        <v/>
      </c>
      <c r="H25" s="7"/>
      <c r="I25" s="6" t="str">
        <f>IF(($C$13&gt;2.8)*($C$13&lt;6.5)*($D$13&gt;=400)*($D$13&lt;=550),"0023352","")</f>
        <v>0023352</v>
      </c>
      <c r="J25" s="7" t="str">
        <f>IF(($C$13&gt;2.8)*($C$13&lt;6.5)*($D$13&gt;=400)*($D$13&lt;=550),"0023357","")</f>
        <v>0023357</v>
      </c>
      <c r="K25" s="4"/>
      <c r="L25" s="4"/>
    </row>
    <row r="26" spans="1:12" ht="15" customHeight="1">
      <c r="A26" s="61"/>
      <c r="B26" s="13" t="s">
        <v>46</v>
      </c>
      <c r="C26" s="23" t="s">
        <v>48</v>
      </c>
      <c r="D26" s="56" t="s">
        <v>34</v>
      </c>
      <c r="E26" s="56"/>
      <c r="F26" s="14" t="str">
        <f t="shared" si="0"/>
        <v/>
      </c>
      <c r="G26" s="15" t="str">
        <f t="shared" si="1"/>
        <v/>
      </c>
      <c r="H26" s="7"/>
      <c r="I26" s="6" t="str">
        <f>IF(($C$13&gt;2)*($C$13&lt;5.2)*($D$13&gt;=450)*($D$13&lt;=580),"0023352","")</f>
        <v/>
      </c>
      <c r="J26" s="6" t="str">
        <f>IF(($C$13&gt;2)*($C$13&lt;5.2)*($D$13&gt;=450)*($D$13&lt;=580),"0023357","")</f>
        <v/>
      </c>
      <c r="K26" s="4"/>
      <c r="L26" s="4"/>
    </row>
    <row r="27" spans="1:12" ht="15" customHeight="1">
      <c r="A27" s="61"/>
      <c r="B27" s="13" t="s">
        <v>46</v>
      </c>
      <c r="C27" s="23" t="s">
        <v>49</v>
      </c>
      <c r="D27" s="56" t="s">
        <v>39</v>
      </c>
      <c r="E27" s="56"/>
      <c r="F27" s="14" t="str">
        <f t="shared" si="0"/>
        <v/>
      </c>
      <c r="G27" s="15" t="str">
        <f t="shared" si="1"/>
        <v/>
      </c>
      <c r="H27" s="7"/>
      <c r="I27" s="6" t="str">
        <f>IF(($C$13&gt;11)*($C$13&lt;20)*($D$13&gt;=300)*($D$13&lt;=349),"0023353","")</f>
        <v/>
      </c>
      <c r="J27" s="7" t="str">
        <f>IF(($C$13&gt;11)*($C$13&lt;20)*($D$13&gt;=300)*($D$13&lt;=349),"0023358","")</f>
        <v/>
      </c>
      <c r="K27" s="4"/>
      <c r="L27" s="4"/>
    </row>
    <row r="28" spans="1:12" ht="15" customHeight="1">
      <c r="A28" s="61"/>
      <c r="B28" s="13" t="s">
        <v>46</v>
      </c>
      <c r="C28" s="23" t="s">
        <v>50</v>
      </c>
      <c r="D28" s="56" t="s">
        <v>45</v>
      </c>
      <c r="E28" s="56"/>
      <c r="F28" s="14" t="str">
        <f t="shared" si="0"/>
        <v/>
      </c>
      <c r="G28" s="15" t="str">
        <f t="shared" si="1"/>
        <v/>
      </c>
      <c r="H28" s="7"/>
      <c r="I28" s="6" t="str">
        <f>IF(($C$13&gt;8)*($C$13&lt;14.5)*($D$13&gt;=350)*($D$13&lt;=399),"0023353","")</f>
        <v/>
      </c>
      <c r="J28" s="7" t="str">
        <f>IF(($C$13&gt;8)*($C$13&lt;14.5)*($D$13&gt;=350)*($D$13&lt;=399),"0023358","")</f>
        <v/>
      </c>
      <c r="K28" s="4"/>
      <c r="L28" s="4"/>
    </row>
    <row r="29" spans="1:12" ht="15" customHeight="1">
      <c r="A29" s="61"/>
      <c r="B29" s="13" t="s">
        <v>51</v>
      </c>
      <c r="C29" s="23" t="s">
        <v>52</v>
      </c>
      <c r="D29" s="56" t="s">
        <v>34</v>
      </c>
      <c r="E29" s="56"/>
      <c r="F29" s="14" t="str">
        <f t="shared" si="0"/>
        <v/>
      </c>
      <c r="G29" s="15" t="str">
        <f t="shared" si="1"/>
        <v/>
      </c>
      <c r="H29" s="7"/>
      <c r="I29" s="6" t="str">
        <f>IF(($C$13&gt;5.8)*($C$13&lt;11.5)*($D$13&gt;=400)*($D$13&lt;=550),"0023353","")</f>
        <v/>
      </c>
      <c r="J29" s="6" t="str">
        <f>IF(($C$13&gt;5.8)*($C$13&lt;11.5)*($D$13&gt;=400)*($D$13&lt;=550),"0023358","")</f>
        <v/>
      </c>
      <c r="K29" s="4"/>
      <c r="L29" s="4"/>
    </row>
    <row r="30" spans="1:12" ht="15" customHeight="1">
      <c r="A30" s="61"/>
      <c r="B30" s="13" t="s">
        <v>51</v>
      </c>
      <c r="C30" s="23" t="s">
        <v>53</v>
      </c>
      <c r="D30" s="56" t="s">
        <v>39</v>
      </c>
      <c r="E30" s="56"/>
      <c r="F30" s="14" t="str">
        <f t="shared" si="0"/>
        <v/>
      </c>
      <c r="G30" s="15" t="str">
        <f t="shared" si="1"/>
        <v/>
      </c>
      <c r="H30" s="7"/>
      <c r="I30" s="6" t="str">
        <f>IF(($C$13&gt;4.2)*($C$13&lt;9.2)*($D$13&gt;=450)*($D$13&lt;=580),"0023353","")</f>
        <v/>
      </c>
      <c r="J30" s="6" t="str">
        <f>IF(($C$13&gt;4.2)*($C$13&lt;9.2)*($D$13&gt;=450)*($D$13&lt;=580),"0023358","")</f>
        <v/>
      </c>
      <c r="K30" s="4"/>
      <c r="L30" s="4"/>
    </row>
    <row r="31" spans="1:12" ht="15" customHeight="1" thickBot="1">
      <c r="A31" s="61"/>
      <c r="B31" s="17" t="s">
        <v>51</v>
      </c>
      <c r="C31" s="24" t="s">
        <v>54</v>
      </c>
      <c r="D31" s="63" t="s">
        <v>45</v>
      </c>
      <c r="E31" s="63"/>
      <c r="F31" s="18" t="str">
        <f t="shared" si="0"/>
        <v/>
      </c>
      <c r="G31" s="19" t="str">
        <f t="shared" si="1"/>
        <v/>
      </c>
      <c r="H31" s="7"/>
      <c r="I31" s="6" t="str">
        <f>IF(($C$13&gt;13.5)*($C$13&lt;20)*($D$13&gt;=350)*($D$13&lt;=399),"0023354","")</f>
        <v/>
      </c>
      <c r="J31" s="6" t="str">
        <f>IF(($C$13&gt;13.5)*($C$13&lt;20)*($D$13&gt;=350)*($D$13&lt;=399),"0023359","")</f>
        <v/>
      </c>
      <c r="K31" s="4"/>
      <c r="L31" s="4"/>
    </row>
    <row r="32" spans="1:12" ht="39.950000000000003" customHeight="1">
      <c r="A32" s="60">
        <v>4</v>
      </c>
      <c r="B32" s="58" t="s">
        <v>55</v>
      </c>
      <c r="C32" s="58"/>
      <c r="D32" s="58"/>
      <c r="E32" s="58"/>
      <c r="F32" s="58"/>
      <c r="G32" s="59"/>
      <c r="H32" s="7"/>
      <c r="I32" s="6" t="str">
        <f>IF(($C$13&gt;10.5)*($C$13&lt;20)*($D$13&gt;=400)*($D$13&lt;=550),"0023354","")</f>
        <v/>
      </c>
      <c r="J32" s="7" t="str">
        <f>IF(($C$13&gt;10.5)*($C$13&lt;20)*($D$13&gt;=400)*($D$13&lt;=550),"0023359","")</f>
        <v/>
      </c>
      <c r="K32" s="4"/>
      <c r="L32" s="4"/>
    </row>
    <row r="33" spans="1:12" ht="20.100000000000001" customHeight="1">
      <c r="A33" s="61"/>
      <c r="B33" s="64" t="s">
        <v>56</v>
      </c>
      <c r="C33" s="65"/>
      <c r="D33" s="45" t="s">
        <v>29</v>
      </c>
      <c r="E33" s="45"/>
      <c r="F33" s="64" t="s">
        <v>57</v>
      </c>
      <c r="G33" s="74"/>
      <c r="H33" s="7"/>
      <c r="I33" s="6" t="str">
        <f>IF(C13&gt;16.5," слишком тяжелый фасад",IF(($C$13&gt;8.3)*($C$13&lt;16.5)*($D$13&gt;=450)*($D$13&lt;=580),"0023354",""))</f>
        <v/>
      </c>
      <c r="J33" s="6" t="str">
        <f>IF(C13&gt;16.5," слишком тяжелый фасад",IF(($C$13&gt;8.3)*($C$13&lt;16.5)*($D$13&gt;=450)*($D$13&lt;=580),"0023359",""))</f>
        <v/>
      </c>
      <c r="K33" s="4"/>
      <c r="L33" s="4"/>
    </row>
    <row r="34" spans="1:12" ht="15" customHeight="1">
      <c r="A34" s="61"/>
      <c r="B34" s="70" t="s">
        <v>58</v>
      </c>
      <c r="C34" s="71"/>
      <c r="D34" s="56" t="s">
        <v>32</v>
      </c>
      <c r="E34" s="56"/>
      <c r="F34" s="66" t="str">
        <f>I35</f>
        <v/>
      </c>
      <c r="G34" s="67"/>
      <c r="H34" s="7"/>
      <c r="I34" s="6"/>
      <c r="J34" s="7"/>
      <c r="K34" s="4"/>
      <c r="L34" s="4"/>
    </row>
    <row r="35" spans="1:12" ht="15" customHeight="1">
      <c r="A35" s="61"/>
      <c r="B35" s="70" t="s">
        <v>59</v>
      </c>
      <c r="C35" s="71"/>
      <c r="D35" s="56" t="s">
        <v>34</v>
      </c>
      <c r="E35" s="56"/>
      <c r="F35" s="66" t="str">
        <f t="shared" ref="F35:F36" si="2">I36</f>
        <v/>
      </c>
      <c r="G35" s="67"/>
      <c r="H35" s="7"/>
      <c r="I35" s="6" t="str">
        <f>IF(D13&lt;300,"слишком низкий фасад",IF(($D$13&gt;=300)*($D$13&lt;=349),"0023360",""))</f>
        <v/>
      </c>
      <c r="J35" s="7"/>
      <c r="K35" s="4"/>
      <c r="L35" s="4"/>
    </row>
    <row r="36" spans="1:12" ht="15" customHeight="1">
      <c r="A36" s="61"/>
      <c r="B36" s="70" t="s">
        <v>60</v>
      </c>
      <c r="C36" s="71"/>
      <c r="D36" s="56" t="s">
        <v>39</v>
      </c>
      <c r="E36" s="56"/>
      <c r="F36" s="66" t="str">
        <f t="shared" si="2"/>
        <v>0023362</v>
      </c>
      <c r="G36" s="67"/>
      <c r="H36" s="7"/>
      <c r="I36" s="6" t="str">
        <f>IF(($D$13&gt;=350)*($D$13&lt;=399),"0023361","")</f>
        <v/>
      </c>
      <c r="J36" s="7"/>
      <c r="K36" s="4"/>
      <c r="L36" s="4"/>
    </row>
    <row r="37" spans="1:12" ht="15" customHeight="1" thickBot="1">
      <c r="A37" s="62"/>
      <c r="B37" s="72" t="s">
        <v>61</v>
      </c>
      <c r="C37" s="73"/>
      <c r="D37" s="57" t="s">
        <v>45</v>
      </c>
      <c r="E37" s="57"/>
      <c r="F37" s="68" t="str">
        <f>I38</f>
        <v/>
      </c>
      <c r="G37" s="69"/>
      <c r="H37" s="7"/>
      <c r="I37" s="6" t="str">
        <f>IF(($D$13&gt;=400)*($D$13&lt;=550),"0023362","")</f>
        <v>0023362</v>
      </c>
      <c r="J37" s="7"/>
      <c r="K37" s="4"/>
      <c r="L37" s="4"/>
    </row>
    <row r="38" spans="1:12" ht="15" customHeight="1">
      <c r="A38" s="50" t="s">
        <v>18</v>
      </c>
      <c r="B38" s="51"/>
      <c r="C38" s="51"/>
      <c r="D38" s="51"/>
      <c r="E38" s="51"/>
      <c r="F38" s="51"/>
      <c r="G38" s="52"/>
      <c r="I38" s="6" t="str">
        <f>IF(D13&gt;580,"слишком высокий фасад",IF(($D$13&gt;=450)*($D$13&lt;=580),"0023363",""))</f>
        <v/>
      </c>
      <c r="J38" s="7"/>
    </row>
    <row r="39" spans="1:12" ht="15" customHeight="1" thickBot="1">
      <c r="A39" s="53"/>
      <c r="B39" s="54"/>
      <c r="C39" s="54"/>
      <c r="D39" s="54"/>
      <c r="E39" s="54"/>
      <c r="F39" s="54"/>
      <c r="G39" s="55"/>
      <c r="J39" s="4"/>
    </row>
    <row r="40" spans="1:12">
      <c r="J40" s="4"/>
    </row>
    <row r="41" spans="1:12">
      <c r="J41" s="4"/>
    </row>
  </sheetData>
  <sheetProtection algorithmName="SHA-512" hashValue="eh3aTIKUhv5Wg1OLuIc1lrxNcdC7OPo2qV1AruhwJJDT6eqXs5294OwA0fmmJAydg7L9AwgYEQAatE0e6jRwcg==" saltValue="O+n1HyuanvasbKUvaiUH0w==" spinCount="100000" sheet="1" objects="1" scenarios="1"/>
  <mergeCells count="49">
    <mergeCell ref="D31:E31"/>
    <mergeCell ref="B33:C33"/>
    <mergeCell ref="F36:G36"/>
    <mergeCell ref="F37:G37"/>
    <mergeCell ref="F35:G35"/>
    <mergeCell ref="B34:C34"/>
    <mergeCell ref="B35:C35"/>
    <mergeCell ref="B36:C36"/>
    <mergeCell ref="B37:C37"/>
    <mergeCell ref="F34:G34"/>
    <mergeCell ref="F33:G33"/>
    <mergeCell ref="D26:E26"/>
    <mergeCell ref="D27:E27"/>
    <mergeCell ref="D28:E28"/>
    <mergeCell ref="D29:E29"/>
    <mergeCell ref="D30:E30"/>
    <mergeCell ref="D19:E19"/>
    <mergeCell ref="D20:E20"/>
    <mergeCell ref="D22:E22"/>
    <mergeCell ref="D23:E23"/>
    <mergeCell ref="D24:E24"/>
    <mergeCell ref="A38:G39"/>
    <mergeCell ref="D35:E35"/>
    <mergeCell ref="D36:E36"/>
    <mergeCell ref="D37:E37"/>
    <mergeCell ref="B14:G14"/>
    <mergeCell ref="D15:E15"/>
    <mergeCell ref="D16:E16"/>
    <mergeCell ref="D18:E18"/>
    <mergeCell ref="D21:E21"/>
    <mergeCell ref="D25:E25"/>
    <mergeCell ref="D33:E33"/>
    <mergeCell ref="D34:E34"/>
    <mergeCell ref="B32:G32"/>
    <mergeCell ref="A14:A31"/>
    <mergeCell ref="A32:A37"/>
    <mergeCell ref="D17:E17"/>
    <mergeCell ref="A11:A13"/>
    <mergeCell ref="B11:G11"/>
    <mergeCell ref="B12:B13"/>
    <mergeCell ref="D12:E12"/>
    <mergeCell ref="F12:G13"/>
    <mergeCell ref="D13:E13"/>
    <mergeCell ref="A1:G7"/>
    <mergeCell ref="J1:K1"/>
    <mergeCell ref="A8:A10"/>
    <mergeCell ref="B8:G8"/>
    <mergeCell ref="D9:D10"/>
    <mergeCell ref="F9:G10"/>
  </mergeCells>
  <hyperlinks>
    <hyperlink ref="A38" r:id="rId1"/>
  </hyperlinks>
  <pageMargins left="0.25" right="0.25" top="0.75" bottom="0.75" header="0.3" footer="0.3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progId="CorelDraw.Graphic.18" shapeId="11266" r:id="rId5">
          <objectPr defaultSize="0" autoPict="0" r:id="rId6">
            <anchor moveWithCells="1">
              <from>
                <xdr:col>0</xdr:col>
                <xdr:colOff>123825</xdr:colOff>
                <xdr:row>0</xdr:row>
                <xdr:rowOff>95250</xdr:rowOff>
              </from>
              <to>
                <xdr:col>1</xdr:col>
                <xdr:colOff>1276350</xdr:colOff>
                <xdr:row>2</xdr:row>
                <xdr:rowOff>180975</xdr:rowOff>
              </to>
            </anchor>
          </objectPr>
        </oleObject>
      </mc:Choice>
      <mc:Fallback>
        <oleObject progId="CorelDraw.Graphic.18" shapeId="11266" r:id="rId5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7" name="Drop Down 1">
              <controlPr defaultSize="0" autoLine="0" autoPict="0">
                <anchor>
                  <from>
                    <xdr:col>1</xdr:col>
                    <xdr:colOff>209550</xdr:colOff>
                    <xdr:row>11</xdr:row>
                    <xdr:rowOff>85725</xdr:rowOff>
                  </from>
                  <to>
                    <xdr:col>1</xdr:col>
                    <xdr:colOff>2390775</xdr:colOff>
                    <xdr:row>12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TOP STAY SK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2025-08-01T08:03:00Z</dcterms:modified>
  <cp:category/>
  <cp:contentStatus/>
</cp:coreProperties>
</file>